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"/>
    </mc:Choice>
  </mc:AlternateContent>
  <bookViews>
    <workbookView xWindow="0" yWindow="0" windowWidth="15345" windowHeight="403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I4" i="2" s="1"/>
  <c r="F8" i="1"/>
  <c r="G5" i="2"/>
  <c r="G6" i="2" s="1"/>
  <c r="E13" i="2"/>
  <c r="E27" i="1"/>
  <c r="D27" i="1"/>
  <c r="E24" i="1"/>
  <c r="E22" i="1"/>
  <c r="G7" i="2" l="1"/>
  <c r="J4" i="2"/>
  <c r="K4" i="1"/>
  <c r="J4" i="1"/>
  <c r="I4" i="1"/>
  <c r="H4" i="1"/>
  <c r="G6" i="1"/>
  <c r="G5" i="1"/>
  <c r="F4" i="1"/>
  <c r="E4" i="1"/>
  <c r="L5" i="1"/>
  <c r="F5" i="1"/>
  <c r="C8" i="1"/>
  <c r="L4" i="1"/>
  <c r="E23" i="1" l="1"/>
  <c r="C5" i="2" l="1"/>
  <c r="C6" i="2" s="1"/>
  <c r="E4" i="2"/>
  <c r="F4" i="2" s="1"/>
  <c r="H5" i="2"/>
  <c r="I5" i="2" l="1"/>
  <c r="J5" i="2" s="1"/>
  <c r="K4" i="2"/>
  <c r="L4" i="2"/>
  <c r="C7" i="2"/>
  <c r="E5" i="2"/>
  <c r="F5" i="2" s="1"/>
  <c r="E25" i="1"/>
  <c r="F6" i="1"/>
  <c r="C6" i="1"/>
  <c r="C7" i="1" s="1"/>
  <c r="C5" i="1"/>
  <c r="L5" i="2" l="1"/>
  <c r="H7" i="2"/>
  <c r="H6" i="2"/>
  <c r="I6" i="2" s="1"/>
  <c r="K5" i="2"/>
  <c r="C8" i="2"/>
  <c r="E6" i="2"/>
  <c r="F6" i="2" s="1"/>
  <c r="F7" i="1"/>
  <c r="G7" i="1"/>
  <c r="H5" i="1"/>
  <c r="I5" i="1"/>
  <c r="G8" i="2"/>
  <c r="I7" i="2" l="1"/>
  <c r="J7" i="2" s="1"/>
  <c r="F8" i="2"/>
  <c r="J6" i="2"/>
  <c r="L6" i="2" s="1"/>
  <c r="K6" i="2"/>
  <c r="E8" i="2"/>
  <c r="E7" i="2"/>
  <c r="F7" i="2" s="1"/>
  <c r="H8" i="2"/>
  <c r="I8" i="2" s="1"/>
  <c r="J8" i="2" s="1"/>
  <c r="G8" i="1"/>
  <c r="H7" i="1"/>
  <c r="I7" i="1" s="1"/>
  <c r="J5" i="1"/>
  <c r="K5" i="1"/>
  <c r="H6" i="1"/>
  <c r="I6" i="1"/>
  <c r="L7" i="2" l="1"/>
  <c r="K7" i="2"/>
  <c r="J7" i="1"/>
  <c r="L7" i="1" s="1"/>
  <c r="K7" i="1"/>
  <c r="J6" i="1"/>
  <c r="L6" i="1" s="1"/>
  <c r="K6" i="1"/>
  <c r="H8" i="1"/>
  <c r="I8" i="1"/>
  <c r="L8" i="2"/>
  <c r="L9" i="2" s="1"/>
  <c r="K8" i="2"/>
  <c r="K9" i="2" s="1"/>
  <c r="J8" i="1" l="1"/>
  <c r="L8" i="1" s="1"/>
  <c r="L9" i="1" s="1"/>
  <c r="K8" i="1"/>
  <c r="K9" i="1"/>
</calcChain>
</file>

<file path=xl/sharedStrings.xml><?xml version="1.0" encoding="utf-8"?>
<sst xmlns="http://schemas.openxmlformats.org/spreadsheetml/2006/main" count="86" uniqueCount="65">
  <si>
    <t>godina</t>
  </si>
  <si>
    <t>Inicijalna investicija</t>
  </si>
  <si>
    <t>Ukupna vrijednost za amortizaciju = 25-10=15</t>
  </si>
  <si>
    <t>amortizacija po godini iznosi 3</t>
  </si>
  <si>
    <t>Krajnja vrijednost</t>
  </si>
  <si>
    <t>Prihodi</t>
  </si>
  <si>
    <t>Trosak prodate robe</t>
  </si>
  <si>
    <t>Poslovna dobit ili ebit</t>
  </si>
  <si>
    <t>Amortizacija</t>
  </si>
  <si>
    <t>PD-porez</t>
  </si>
  <si>
    <t>trosak kapitala je I min zahtijevana stopa prinosa. Posto je ovdje ta stopa manja od zarade kompanije, prihvatamo projekat</t>
  </si>
  <si>
    <t>Trosak akcijskog kapitala je 16%, odbacujemo projekat</t>
  </si>
  <si>
    <t>Pocetna vrijednost - likvidacioni ostatak</t>
  </si>
  <si>
    <t>terminalna vrijednost</t>
  </si>
  <si>
    <t>MIRR</t>
  </si>
  <si>
    <t>MIRR=[(terminalna vrijednost/investicija)^1/n-1]</t>
  </si>
  <si>
    <t>15/5=3</t>
  </si>
  <si>
    <t>Vas kapital</t>
  </si>
  <si>
    <t>prosjecna knjigovodstvena vrijednost kapitala</t>
  </si>
  <si>
    <t>PD=PP-VT-FT(amortizacija)</t>
  </si>
  <si>
    <t>Neto dobit</t>
  </si>
  <si>
    <t>Prinos na kapital prije oporezivanja</t>
  </si>
  <si>
    <t>prinos na kapital (prije oporezivanja)=PD/prosj UK=7/23.5=0.298</t>
  </si>
  <si>
    <t>Prinos na kapital nakon oporezivanja</t>
  </si>
  <si>
    <t>prinos na kapital (posle oporezivanja)=ND/prosj UK=4.2/23.5=0.18</t>
  </si>
  <si>
    <t>prosjecne vrijednosti</t>
  </si>
  <si>
    <t>diskontni faktor=1/(1+p)^n</t>
  </si>
  <si>
    <t>100(1+0.05)=105</t>
  </si>
  <si>
    <t>100+100(0.05)=105</t>
  </si>
  <si>
    <t>100=105/(1+0.05)=105*(1/(1+0.05))</t>
  </si>
  <si>
    <t>investicija</t>
  </si>
  <si>
    <r>
      <t>Modifikovana IRR=(buduca vrijednost/investicija)^</t>
    </r>
    <r>
      <rPr>
        <sz val="9"/>
        <color theme="1"/>
        <rFont val="Calibri"/>
        <family val="2"/>
        <scheme val="minor"/>
      </rPr>
      <t>1/n-</t>
    </r>
    <r>
      <rPr>
        <sz val="11"/>
        <color theme="1"/>
        <rFont val="Calibri"/>
        <family val="2"/>
        <scheme val="minor"/>
      </rPr>
      <t>1</t>
    </r>
  </si>
  <si>
    <r>
      <t>Modifikovana IRR=(7022400/4750000)^</t>
    </r>
    <r>
      <rPr>
        <sz val="9"/>
        <color theme="1"/>
        <rFont val="Calibri"/>
        <family val="2"/>
        <scheme val="minor"/>
      </rPr>
      <t>1/3-</t>
    </r>
    <r>
      <rPr>
        <sz val="11"/>
        <color theme="1"/>
        <rFont val="Calibri"/>
        <family val="2"/>
        <scheme val="minor"/>
      </rPr>
      <t>1</t>
    </r>
  </si>
  <si>
    <t>NSV=0</t>
  </si>
  <si>
    <t>Sopstveni kapital</t>
  </si>
  <si>
    <t>Buduca terminalna vrijednost/(1+p)^n=pocetnoj investiciji</t>
  </si>
  <si>
    <t>pretpostavka je da se novcani tokovi reinvestiraju po stopi troska kapitala projekta</t>
  </si>
  <si>
    <t>Interna stopa rentabilnosti podrazumijeva da su novcani tokovi reinvestirani po istoj stopi po kojoj su isplanirani</t>
  </si>
  <si>
    <t>Najcesce novcani tokovi rastu po stopi koja zavisi od trzista, a to je trosak kapitala kompanije.</t>
  </si>
  <si>
    <t>Taj aspekt uzima u obzir MIRR</t>
  </si>
  <si>
    <t>PD=20-10-3</t>
  </si>
  <si>
    <t>ND=7*(1-0.4)</t>
  </si>
  <si>
    <t>Prinos PD=7/23.5</t>
  </si>
  <si>
    <t>35.2%&gt;12% prihvatamo projekat</t>
  </si>
  <si>
    <t>Medjutim, po biznis planu, zarada raste 10% u prvoj godini, aIi ne i u svakoj narednoj.</t>
  </si>
  <si>
    <t>Investicija 30  do likvidacione od 0</t>
  </si>
  <si>
    <t>linearna amortizacija</t>
  </si>
  <si>
    <t>Prihodi su 30 miliona I godisnje rastu po stopi od 10%</t>
  </si>
  <si>
    <t>Varijabilni troskovi cine 60% prihoda</t>
  </si>
  <si>
    <t>porez je 25%</t>
  </si>
  <si>
    <t>stopu prinosa na ulozeni kapital - poslovna dobit</t>
  </si>
  <si>
    <t>stopu prinosa na ulozeni kapital - neto dobit</t>
  </si>
  <si>
    <t>trosak kapitala 25%</t>
  </si>
  <si>
    <t>Krajnja vrijednost Sk</t>
  </si>
  <si>
    <t>Prihod-Var troskovi-amortizacija</t>
  </si>
  <si>
    <t>91.5%&gt;25% isplati se ulaganje</t>
  </si>
  <si>
    <t>IRR</t>
  </si>
  <si>
    <t>IRR&gt;troska kapitala</t>
  </si>
  <si>
    <t>IRR&gt;25%</t>
  </si>
  <si>
    <t>Indeks profitabilnosti &gt;1</t>
  </si>
  <si>
    <t>Sadasnja vrijednost investicije/investicija(ulaganje)</t>
  </si>
  <si>
    <t>Sadasnja vrijednost prihoda/ulog</t>
  </si>
  <si>
    <t>NSV&lt;0</t>
  </si>
  <si>
    <t>Indeks proft&lt;1</t>
  </si>
  <si>
    <t>IRR&lt;tr kapitala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</si>
</sst>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1" applyFont="1"/>
    <xf numFmtId="164" fontId="0" fillId="0" borderId="0" xfId="1" applyNumberFormat="1" applyFont="1"/>
    <xf numFmtId="0" fontId="0" fillId="2" borderId="0" xfId="0" applyFill="1"/>
    <xf numFmtId="0" fontId="3" fillId="0" borderId="0" xfId="0" applyFont="1"/>
    <xf numFmtId="9" fontId="0" fillId="0" borderId="0" xfId="0" applyNumberFormat="1"/>
    <xf numFmtId="164" fontId="3" fillId="0" borderId="0" xfId="1" applyNumberFormat="1" applyFont="1"/>
    <xf numFmtId="9" fontId="0" fillId="2" borderId="0" xfId="1" applyFont="1" applyFill="1"/>
    <xf numFmtId="164" fontId="4" fillId="0" borderId="1" xfId="0" applyNumberFormat="1" applyFont="1" applyBorder="1"/>
    <xf numFmtId="0" fontId="0" fillId="0" borderId="3" xfId="0" applyBorder="1"/>
    <xf numFmtId="10" fontId="0" fillId="2" borderId="0" xfId="1" applyNumberFormat="1" applyFont="1" applyFill="1"/>
    <xf numFmtId="2" fontId="0" fillId="0" borderId="0" xfId="0" applyNumberFormat="1"/>
    <xf numFmtId="0" fontId="0" fillId="2" borderId="3" xfId="0" applyFill="1" applyBorder="1"/>
    <xf numFmtId="164" fontId="3" fillId="0" borderId="3" xfId="1" applyNumberFormat="1" applyFont="1" applyBorder="1"/>
    <xf numFmtId="9" fontId="0" fillId="2" borderId="3" xfId="1" applyFont="1" applyFill="1" applyBorder="1"/>
    <xf numFmtId="164" fontId="0" fillId="0" borderId="3" xfId="1" applyNumberFormat="1" applyFont="1" applyBorder="1"/>
    <xf numFmtId="9" fontId="0" fillId="0" borderId="3" xfId="1" applyFont="1" applyBorder="1"/>
    <xf numFmtId="0" fontId="3" fillId="0" borderId="3" xfId="0" applyFont="1" applyBorder="1"/>
    <xf numFmtId="164" fontId="4" fillId="0" borderId="3" xfId="0" applyNumberFormat="1" applyFont="1" applyBorder="1"/>
    <xf numFmtId="0" fontId="0" fillId="0" borderId="0" xfId="0" applyFill="1"/>
    <xf numFmtId="164" fontId="4" fillId="3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20" zoomScaleNormal="120" workbookViewId="0">
      <selection activeCell="B20" sqref="B20"/>
    </sheetView>
  </sheetViews>
  <sheetFormatPr defaultRowHeight="15" x14ac:dyDescent="0.25"/>
  <cols>
    <col min="3" max="3" width="18.7109375" bestFit="1" customWidth="1"/>
    <col min="4" max="4" width="12" bestFit="1" customWidth="1"/>
    <col min="5" max="5" width="16.7109375" bestFit="1" customWidth="1"/>
    <col min="6" max="6" width="35" bestFit="1" customWidth="1"/>
    <col min="8" max="8" width="19" bestFit="1" customWidth="1"/>
    <col min="9" max="9" width="20.5703125" bestFit="1" customWidth="1"/>
    <col min="10" max="10" width="14" customWidth="1"/>
    <col min="11" max="11" width="30.85546875" bestFit="1" customWidth="1"/>
  </cols>
  <sheetData>
    <row r="1" spans="1:13" x14ac:dyDescent="0.25">
      <c r="A1">
        <v>10.1</v>
      </c>
      <c r="H1" t="s">
        <v>40</v>
      </c>
      <c r="J1" t="s">
        <v>41</v>
      </c>
      <c r="K1" t="s">
        <v>42</v>
      </c>
    </row>
    <row r="2" spans="1:13" x14ac:dyDescent="0.25">
      <c r="C2" t="s">
        <v>17</v>
      </c>
      <c r="E2" t="s">
        <v>17</v>
      </c>
      <c r="H2">
        <v>1.1000000000000001</v>
      </c>
      <c r="J2" t="s">
        <v>20</v>
      </c>
    </row>
    <row r="3" spans="1:13" x14ac:dyDescent="0.25">
      <c r="B3" t="s">
        <v>0</v>
      </c>
      <c r="C3" t="s">
        <v>1</v>
      </c>
      <c r="D3" t="s">
        <v>8</v>
      </c>
      <c r="E3" t="s">
        <v>4</v>
      </c>
      <c r="F3" t="s">
        <v>18</v>
      </c>
      <c r="G3" t="s">
        <v>5</v>
      </c>
      <c r="H3" t="s">
        <v>6</v>
      </c>
      <c r="I3" t="s">
        <v>7</v>
      </c>
      <c r="J3" t="s">
        <v>9</v>
      </c>
      <c r="K3" t="s">
        <v>21</v>
      </c>
      <c r="L3" t="s">
        <v>23</v>
      </c>
    </row>
    <row r="4" spans="1:13" x14ac:dyDescent="0.25">
      <c r="B4">
        <v>1</v>
      </c>
      <c r="C4" s="3">
        <v>25</v>
      </c>
      <c r="D4">
        <v>3</v>
      </c>
      <c r="E4">
        <f>C4-D4</f>
        <v>22</v>
      </c>
      <c r="F4">
        <f>(C4+E4)/2</f>
        <v>23.5</v>
      </c>
      <c r="G4">
        <v>20</v>
      </c>
      <c r="H4">
        <f>G4*0.5</f>
        <v>10</v>
      </c>
      <c r="I4">
        <f>G4-H4-D4</f>
        <v>7</v>
      </c>
      <c r="J4">
        <f>I4*(1-0.4)</f>
        <v>4.2</v>
      </c>
      <c r="K4" s="6">
        <f>I4/F4</f>
        <v>0.2978723404255319</v>
      </c>
      <c r="L4" s="7">
        <f>J4/F4</f>
        <v>0.17872340425531916</v>
      </c>
    </row>
    <row r="5" spans="1:13" x14ac:dyDescent="0.25">
      <c r="B5">
        <v>2</v>
      </c>
      <c r="C5">
        <f>C4-3</f>
        <v>22</v>
      </c>
      <c r="D5">
        <v>3</v>
      </c>
      <c r="E5">
        <v>19</v>
      </c>
      <c r="F5">
        <f>(C5+E5)/2</f>
        <v>20.5</v>
      </c>
      <c r="G5">
        <f>G4*$H$2</f>
        <v>22</v>
      </c>
      <c r="H5">
        <f t="shared" ref="H5:H8" si="0">G5*0.5</f>
        <v>11</v>
      </c>
      <c r="I5">
        <f t="shared" ref="I5:I8" si="1">G5-H5-D5</f>
        <v>8</v>
      </c>
      <c r="J5">
        <f>I5*(1-0.4)</f>
        <v>4.8</v>
      </c>
      <c r="K5" s="2">
        <f t="shared" ref="K5:K8" si="2">I5/F5</f>
        <v>0.3902439024390244</v>
      </c>
      <c r="L5" s="1">
        <f>J5/F5</f>
        <v>0.23414634146341462</v>
      </c>
    </row>
    <row r="6" spans="1:13" x14ac:dyDescent="0.25">
      <c r="B6">
        <v>3</v>
      </c>
      <c r="C6">
        <f>C5-3</f>
        <v>19</v>
      </c>
      <c r="D6">
        <v>3</v>
      </c>
      <c r="E6">
        <v>16</v>
      </c>
      <c r="F6">
        <f t="shared" ref="F6:F8" si="3">(C6+E6)/2</f>
        <v>17.5</v>
      </c>
      <c r="G6">
        <f>G5*$H$2</f>
        <v>24.200000000000003</v>
      </c>
      <c r="H6">
        <f t="shared" si="0"/>
        <v>12.100000000000001</v>
      </c>
      <c r="I6">
        <f t="shared" si="1"/>
        <v>9.1000000000000014</v>
      </c>
      <c r="J6">
        <f>I6*(1-0.4)</f>
        <v>5.4600000000000009</v>
      </c>
      <c r="K6" s="2">
        <f t="shared" si="2"/>
        <v>0.52000000000000013</v>
      </c>
      <c r="L6" s="1">
        <f t="shared" ref="L6:L8" si="4">J6/F6</f>
        <v>0.31200000000000006</v>
      </c>
    </row>
    <row r="7" spans="1:13" x14ac:dyDescent="0.25">
      <c r="B7">
        <v>4</v>
      </c>
      <c r="C7">
        <f>C6-3</f>
        <v>16</v>
      </c>
      <c r="D7">
        <v>3</v>
      </c>
      <c r="E7">
        <v>13</v>
      </c>
      <c r="F7">
        <f t="shared" si="3"/>
        <v>14.5</v>
      </c>
      <c r="G7">
        <f>G6*$H$2</f>
        <v>26.620000000000005</v>
      </c>
      <c r="H7">
        <f t="shared" si="0"/>
        <v>13.310000000000002</v>
      </c>
      <c r="I7">
        <f t="shared" si="1"/>
        <v>10.310000000000002</v>
      </c>
      <c r="J7">
        <f t="shared" ref="J7:J8" si="5">I7*(1-0.4)</f>
        <v>6.1860000000000008</v>
      </c>
      <c r="K7" s="2">
        <f t="shared" si="2"/>
        <v>0.7110344827586208</v>
      </c>
      <c r="L7" s="1">
        <f t="shared" si="4"/>
        <v>0.42662068965517247</v>
      </c>
    </row>
    <row r="8" spans="1:13" x14ac:dyDescent="0.25">
      <c r="B8">
        <v>5</v>
      </c>
      <c r="C8">
        <f>C7-3</f>
        <v>13</v>
      </c>
      <c r="D8">
        <v>3</v>
      </c>
      <c r="E8" s="4">
        <v>10</v>
      </c>
      <c r="F8">
        <f>(C8+E8)/2</f>
        <v>11.5</v>
      </c>
      <c r="G8">
        <f>G7*$H$2</f>
        <v>29.282000000000007</v>
      </c>
      <c r="H8">
        <f t="shared" si="0"/>
        <v>14.641000000000004</v>
      </c>
      <c r="I8">
        <f t="shared" si="1"/>
        <v>11.641000000000004</v>
      </c>
      <c r="J8">
        <f t="shared" si="5"/>
        <v>6.9846000000000021</v>
      </c>
      <c r="K8" s="2">
        <f t="shared" si="2"/>
        <v>1.0122608695652178</v>
      </c>
      <c r="L8" s="1">
        <f t="shared" si="4"/>
        <v>0.60735652173913057</v>
      </c>
    </row>
    <row r="9" spans="1:13" x14ac:dyDescent="0.25">
      <c r="K9" s="8">
        <f>AVERAGE(K4:K8)</f>
        <v>0.58628231903767902</v>
      </c>
      <c r="L9" s="20">
        <f>AVERAGE(L4:L8)</f>
        <v>0.35176939142260738</v>
      </c>
    </row>
    <row r="10" spans="1:13" x14ac:dyDescent="0.25">
      <c r="B10" t="s">
        <v>12</v>
      </c>
      <c r="G10" t="s">
        <v>19</v>
      </c>
      <c r="K10" s="21" t="s">
        <v>25</v>
      </c>
      <c r="L10" s="21"/>
    </row>
    <row r="11" spans="1:13" x14ac:dyDescent="0.25">
      <c r="B11" t="s">
        <v>2</v>
      </c>
      <c r="E11" t="s">
        <v>16</v>
      </c>
      <c r="J11" s="4" t="s">
        <v>22</v>
      </c>
      <c r="K11" s="4"/>
      <c r="L11" s="4"/>
      <c r="M11" s="4"/>
    </row>
    <row r="12" spans="1:13" x14ac:dyDescent="0.25">
      <c r="B12" t="s">
        <v>3</v>
      </c>
      <c r="J12" s="3" t="s">
        <v>24</v>
      </c>
      <c r="K12" s="3"/>
      <c r="L12" s="3"/>
      <c r="M12" s="3"/>
    </row>
    <row r="14" spans="1:13" x14ac:dyDescent="0.25">
      <c r="B14" s="3" t="s">
        <v>10</v>
      </c>
      <c r="C14" s="3"/>
      <c r="D14" s="3"/>
      <c r="E14" s="3"/>
      <c r="F14" s="3"/>
      <c r="G14" s="3"/>
      <c r="H14" s="3"/>
      <c r="I14" s="5">
        <v>0.12</v>
      </c>
      <c r="K14" t="s">
        <v>43</v>
      </c>
    </row>
    <row r="15" spans="1:13" x14ac:dyDescent="0.25">
      <c r="B15" s="19"/>
      <c r="C15" s="19"/>
      <c r="D15" s="19"/>
      <c r="E15" s="19"/>
      <c r="F15" s="19"/>
      <c r="G15" s="19"/>
      <c r="H15" s="19"/>
      <c r="I15" s="5"/>
    </row>
    <row r="16" spans="1:13" x14ac:dyDescent="0.25">
      <c r="B16" s="19"/>
      <c r="C16" s="19"/>
      <c r="D16" s="19"/>
      <c r="E16" s="19"/>
      <c r="F16" s="19"/>
      <c r="G16" s="19"/>
      <c r="H16" s="19"/>
      <c r="I16" s="5"/>
    </row>
    <row r="17" spans="2:7" x14ac:dyDescent="0.25">
      <c r="D17" t="s">
        <v>35</v>
      </c>
      <c r="G17" t="s">
        <v>36</v>
      </c>
    </row>
    <row r="18" spans="2:7" x14ac:dyDescent="0.25">
      <c r="D18" t="s">
        <v>15</v>
      </c>
    </row>
    <row r="20" spans="2:7" x14ac:dyDescent="0.25">
      <c r="B20" s="22">
        <v>10.9</v>
      </c>
      <c r="C20" t="s">
        <v>31</v>
      </c>
      <c r="F20" t="s">
        <v>32</v>
      </c>
    </row>
    <row r="21" spans="2:7" x14ac:dyDescent="0.25">
      <c r="B21" s="4" t="s">
        <v>30</v>
      </c>
      <c r="C21" s="17">
        <v>0</v>
      </c>
      <c r="D21" s="17">
        <v>-4750000</v>
      </c>
    </row>
    <row r="22" spans="2:7" x14ac:dyDescent="0.25">
      <c r="C22" s="9">
        <v>1</v>
      </c>
      <c r="D22" s="9">
        <v>4000000</v>
      </c>
      <c r="E22">
        <f>D22*1.16^2</f>
        <v>5382400</v>
      </c>
    </row>
    <row r="23" spans="2:7" x14ac:dyDescent="0.25">
      <c r="C23" s="9">
        <v>2</v>
      </c>
      <c r="D23" s="9">
        <v>4000000</v>
      </c>
      <c r="E23">
        <f>D23*1.16</f>
        <v>4640000</v>
      </c>
    </row>
    <row r="24" spans="2:7" x14ac:dyDescent="0.25">
      <c r="C24" s="9">
        <v>3</v>
      </c>
      <c r="D24" s="9">
        <v>-3000000</v>
      </c>
      <c r="E24">
        <f>D24</f>
        <v>-3000000</v>
      </c>
    </row>
    <row r="25" spans="2:7" x14ac:dyDescent="0.25">
      <c r="E25">
        <f>SUM(E22:E24)</f>
        <v>7022400</v>
      </c>
      <c r="F25" t="s">
        <v>13</v>
      </c>
    </row>
    <row r="27" spans="2:7" x14ac:dyDescent="0.25">
      <c r="C27" s="3" t="s">
        <v>14</v>
      </c>
      <c r="D27">
        <f>E25/4750000</f>
        <v>1.4783999999999999</v>
      </c>
      <c r="E27" s="10">
        <f>D27^0.3333-1</f>
        <v>0.13917818104921431</v>
      </c>
      <c r="F27" t="s">
        <v>33</v>
      </c>
    </row>
    <row r="29" spans="2:7" x14ac:dyDescent="0.25">
      <c r="D29" t="s">
        <v>11</v>
      </c>
    </row>
    <row r="31" spans="2:7" x14ac:dyDescent="0.25">
      <c r="B31">
        <v>10.1</v>
      </c>
    </row>
    <row r="32" spans="2:7" x14ac:dyDescent="0.25">
      <c r="C32" t="s">
        <v>26</v>
      </c>
      <c r="E32" t="s">
        <v>28</v>
      </c>
    </row>
    <row r="34" spans="3:5" x14ac:dyDescent="0.25">
      <c r="E34" t="s">
        <v>27</v>
      </c>
    </row>
    <row r="35" spans="3:5" x14ac:dyDescent="0.25">
      <c r="E35" t="s">
        <v>29</v>
      </c>
    </row>
    <row r="40" spans="3:5" x14ac:dyDescent="0.25">
      <c r="C40" t="s">
        <v>37</v>
      </c>
    </row>
    <row r="41" spans="3:5" x14ac:dyDescent="0.25">
      <c r="C41" t="s">
        <v>44</v>
      </c>
    </row>
    <row r="42" spans="3:5" x14ac:dyDescent="0.25">
      <c r="C42" t="s">
        <v>38</v>
      </c>
    </row>
    <row r="43" spans="3:5" x14ac:dyDescent="0.25">
      <c r="C43" t="s">
        <v>39</v>
      </c>
    </row>
  </sheetData>
  <mergeCells count="1">
    <mergeCell ref="K10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topLeftCell="B4" zoomScale="150" zoomScaleNormal="150" workbookViewId="0">
      <selection activeCell="L18" sqref="L18"/>
    </sheetView>
  </sheetViews>
  <sheetFormatPr defaultRowHeight="15" x14ac:dyDescent="0.25"/>
  <cols>
    <col min="5" max="5" width="12.140625" customWidth="1"/>
    <col min="10" max="10" width="11.28515625" customWidth="1"/>
  </cols>
  <sheetData>
    <row r="2" spans="2:12" x14ac:dyDescent="0.25">
      <c r="B2" s="9"/>
      <c r="C2" s="9" t="s">
        <v>17</v>
      </c>
      <c r="D2" s="9"/>
      <c r="E2" s="9" t="s">
        <v>17</v>
      </c>
      <c r="F2" s="9"/>
      <c r="G2" s="9"/>
      <c r="H2" s="9">
        <v>1.1000000000000001</v>
      </c>
      <c r="I2" s="9"/>
      <c r="J2" s="9" t="s">
        <v>20</v>
      </c>
      <c r="K2" s="9"/>
      <c r="L2" s="9"/>
    </row>
    <row r="3" spans="2:12" x14ac:dyDescent="0.25">
      <c r="B3" s="9" t="s">
        <v>0</v>
      </c>
      <c r="C3" s="9" t="s">
        <v>1</v>
      </c>
      <c r="D3" s="9" t="s">
        <v>8</v>
      </c>
      <c r="E3" s="9" t="s">
        <v>4</v>
      </c>
      <c r="F3" s="9" t="s">
        <v>18</v>
      </c>
      <c r="G3" s="9" t="s">
        <v>5</v>
      </c>
      <c r="H3" s="9" t="s">
        <v>6</v>
      </c>
      <c r="I3" s="9" t="s">
        <v>7</v>
      </c>
      <c r="J3" s="9" t="s">
        <v>9</v>
      </c>
      <c r="K3" s="9" t="s">
        <v>21</v>
      </c>
      <c r="L3" s="9" t="s">
        <v>23</v>
      </c>
    </row>
    <row r="4" spans="2:12" x14ac:dyDescent="0.25">
      <c r="B4" s="9">
        <v>1</v>
      </c>
      <c r="C4" s="12">
        <v>30</v>
      </c>
      <c r="D4" s="9">
        <v>6</v>
      </c>
      <c r="E4" s="9">
        <f>C4-D4</f>
        <v>24</v>
      </c>
      <c r="F4" s="9">
        <f>(C4+E4)/2</f>
        <v>27</v>
      </c>
      <c r="G4" s="9">
        <v>30</v>
      </c>
      <c r="H4" s="9">
        <f>G4*0.6</f>
        <v>18</v>
      </c>
      <c r="I4" s="9">
        <f>G4-H4-D4</f>
        <v>6</v>
      </c>
      <c r="J4" s="9">
        <f>I4*(1-0.25)</f>
        <v>4.5</v>
      </c>
      <c r="K4" s="13">
        <f>I4/F4</f>
        <v>0.22222222222222221</v>
      </c>
      <c r="L4" s="14">
        <f>J4/F4</f>
        <v>0.16666666666666666</v>
      </c>
    </row>
    <row r="5" spans="2:12" x14ac:dyDescent="0.25">
      <c r="B5" s="9">
        <v>2</v>
      </c>
      <c r="C5" s="9">
        <f>C4-D4</f>
        <v>24</v>
      </c>
      <c r="D5" s="9">
        <v>6</v>
      </c>
      <c r="E5" s="9">
        <f>C6</f>
        <v>18</v>
      </c>
      <c r="F5" s="9">
        <f t="shared" ref="F5:F7" si="0">(C5+E5)/2</f>
        <v>21</v>
      </c>
      <c r="G5" s="9">
        <f>G4*$H$2</f>
        <v>33</v>
      </c>
      <c r="H5" s="9">
        <f>G5*0.6</f>
        <v>19.8</v>
      </c>
      <c r="I5" s="9">
        <f>G5-H5-D5</f>
        <v>7.1999999999999993</v>
      </c>
      <c r="J5" s="9">
        <f>I5*(1-0.25)</f>
        <v>5.3999999999999995</v>
      </c>
      <c r="K5" s="15">
        <f>I5/F5</f>
        <v>0.3428571428571428</v>
      </c>
      <c r="L5" s="16">
        <f>J5/F5</f>
        <v>0.25714285714285712</v>
      </c>
    </row>
    <row r="6" spans="2:12" x14ac:dyDescent="0.25">
      <c r="B6" s="9">
        <v>3</v>
      </c>
      <c r="C6" s="9">
        <f>C5-D6</f>
        <v>18</v>
      </c>
      <c r="D6" s="9">
        <v>6</v>
      </c>
      <c r="E6" s="9">
        <f>C7</f>
        <v>12</v>
      </c>
      <c r="F6" s="9">
        <f t="shared" si="0"/>
        <v>15</v>
      </c>
      <c r="G6" s="9">
        <f>G5*$H$2</f>
        <v>36.300000000000004</v>
      </c>
      <c r="H6" s="9">
        <f t="shared" ref="H6:H8" si="1">G6*0.6</f>
        <v>21.78</v>
      </c>
      <c r="I6" s="9">
        <f>G6-H6-D6</f>
        <v>8.5200000000000031</v>
      </c>
      <c r="J6" s="9">
        <f t="shared" ref="J6:J8" si="2">I6*(1-0.25)</f>
        <v>6.3900000000000023</v>
      </c>
      <c r="K6" s="15">
        <f>I6/F6</f>
        <v>0.56800000000000017</v>
      </c>
      <c r="L6" s="16">
        <f>J6/F6</f>
        <v>0.42600000000000016</v>
      </c>
    </row>
    <row r="7" spans="2:12" x14ac:dyDescent="0.25">
      <c r="B7" s="9">
        <v>4</v>
      </c>
      <c r="C7" s="9">
        <f>C6-D7</f>
        <v>12</v>
      </c>
      <c r="D7" s="9">
        <v>6</v>
      </c>
      <c r="E7" s="9">
        <f>C8</f>
        <v>6</v>
      </c>
      <c r="F7" s="9">
        <f t="shared" si="0"/>
        <v>9</v>
      </c>
      <c r="G7" s="9">
        <f>G6*$H$2</f>
        <v>39.930000000000007</v>
      </c>
      <c r="H7" s="9">
        <f t="shared" si="1"/>
        <v>23.958000000000002</v>
      </c>
      <c r="I7" s="9">
        <f>G7-H7-D7</f>
        <v>9.9720000000000049</v>
      </c>
      <c r="J7" s="9">
        <f t="shared" si="2"/>
        <v>7.4790000000000036</v>
      </c>
      <c r="K7" s="15">
        <f>I7/F7</f>
        <v>1.1080000000000005</v>
      </c>
      <c r="L7" s="16">
        <f>J7/F7</f>
        <v>0.83100000000000041</v>
      </c>
    </row>
    <row r="8" spans="2:12" x14ac:dyDescent="0.25">
      <c r="B8" s="9">
        <v>5</v>
      </c>
      <c r="C8" s="9">
        <f>C7-D7</f>
        <v>6</v>
      </c>
      <c r="D8" s="9">
        <v>6</v>
      </c>
      <c r="E8" s="17">
        <f>C8-D8</f>
        <v>0</v>
      </c>
      <c r="F8" s="9">
        <f>(C8+E8)/2</f>
        <v>3</v>
      </c>
      <c r="G8" s="9">
        <f>G7*$H$2</f>
        <v>43.923000000000009</v>
      </c>
      <c r="H8" s="9">
        <f t="shared" si="1"/>
        <v>26.353800000000003</v>
      </c>
      <c r="I8" s="9">
        <f>G8-H8-D8</f>
        <v>11.569200000000006</v>
      </c>
      <c r="J8" s="9">
        <f t="shared" si="2"/>
        <v>8.6769000000000034</v>
      </c>
      <c r="K8" s="15">
        <f>I8/F8</f>
        <v>3.856400000000002</v>
      </c>
      <c r="L8" s="16">
        <f>J8/F8</f>
        <v>2.892300000000001</v>
      </c>
    </row>
    <row r="9" spans="2:12" x14ac:dyDescent="0.25">
      <c r="B9" s="9"/>
      <c r="C9" s="9"/>
      <c r="D9" s="9"/>
      <c r="E9" s="9"/>
      <c r="F9" s="9"/>
      <c r="G9" s="9"/>
      <c r="H9" s="9"/>
      <c r="I9" s="9"/>
      <c r="J9" s="9"/>
      <c r="K9" s="18">
        <f>AVERAGE(K4:K8)</f>
        <v>1.2194958730158736</v>
      </c>
      <c r="L9" s="18">
        <f>AVERAGE(L4:L8)</f>
        <v>0.91462190476190508</v>
      </c>
    </row>
    <row r="11" spans="2:12" x14ac:dyDescent="0.25">
      <c r="C11" t="s">
        <v>45</v>
      </c>
    </row>
    <row r="12" spans="2:12" x14ac:dyDescent="0.25">
      <c r="C12" t="s">
        <v>34</v>
      </c>
      <c r="E12">
        <v>30</v>
      </c>
      <c r="H12" t="s">
        <v>54</v>
      </c>
    </row>
    <row r="13" spans="2:12" x14ac:dyDescent="0.25">
      <c r="C13" t="s">
        <v>8</v>
      </c>
      <c r="E13" s="11">
        <f>30/5</f>
        <v>6</v>
      </c>
    </row>
    <row r="14" spans="2:12" x14ac:dyDescent="0.25">
      <c r="H14" t="s">
        <v>55</v>
      </c>
    </row>
    <row r="16" spans="2:12" x14ac:dyDescent="0.25">
      <c r="H16" t="s">
        <v>56</v>
      </c>
    </row>
    <row r="17" spans="8:11" x14ac:dyDescent="0.25">
      <c r="H17" t="s">
        <v>57</v>
      </c>
    </row>
    <row r="18" spans="8:11" x14ac:dyDescent="0.25">
      <c r="H18" t="s">
        <v>58</v>
      </c>
    </row>
    <row r="20" spans="8:11" x14ac:dyDescent="0.25">
      <c r="H20" t="s">
        <v>59</v>
      </c>
      <c r="I20" t="s">
        <v>60</v>
      </c>
    </row>
    <row r="22" spans="8:11" x14ac:dyDescent="0.25">
      <c r="I22" s="3" t="s">
        <v>61</v>
      </c>
      <c r="J22" s="3"/>
      <c r="K22" s="3"/>
    </row>
    <row r="25" spans="8:11" x14ac:dyDescent="0.25">
      <c r="H25" t="s">
        <v>62</v>
      </c>
    </row>
    <row r="26" spans="8:11" x14ac:dyDescent="0.25">
      <c r="H26" t="s">
        <v>63</v>
      </c>
    </row>
    <row r="27" spans="8:11" x14ac:dyDescent="0.25">
      <c r="H27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1"/>
  <sheetViews>
    <sheetView topLeftCell="A3" zoomScale="120" zoomScaleNormal="120" workbookViewId="0">
      <selection activeCell="C17" sqref="C17"/>
    </sheetView>
  </sheetViews>
  <sheetFormatPr defaultRowHeight="15" x14ac:dyDescent="0.25"/>
  <cols>
    <col min="4" max="4" width="18.7109375" bestFit="1" customWidth="1"/>
    <col min="5" max="5" width="12" bestFit="1" customWidth="1"/>
    <col min="6" max="6" width="19.28515625" bestFit="1" customWidth="1"/>
  </cols>
  <sheetData>
    <row r="3" spans="3:6" x14ac:dyDescent="0.25">
      <c r="C3" s="9"/>
      <c r="D3" s="9" t="s">
        <v>17</v>
      </c>
    </row>
    <row r="4" spans="3:6" x14ac:dyDescent="0.25">
      <c r="C4" s="9" t="s">
        <v>0</v>
      </c>
      <c r="D4" s="9" t="s">
        <v>1</v>
      </c>
      <c r="E4" t="s">
        <v>8</v>
      </c>
      <c r="F4" t="s">
        <v>53</v>
      </c>
    </row>
    <row r="5" spans="3:6" x14ac:dyDescent="0.25">
      <c r="C5" s="9">
        <v>1</v>
      </c>
      <c r="D5" s="12">
        <v>30</v>
      </c>
      <c r="E5">
        <v>6</v>
      </c>
      <c r="F5">
        <v>24</v>
      </c>
    </row>
    <row r="6" spans="3:6" x14ac:dyDescent="0.25">
      <c r="C6" s="9">
        <v>2</v>
      </c>
      <c r="D6" s="9">
        <v>24</v>
      </c>
      <c r="E6">
        <v>6</v>
      </c>
      <c r="F6">
        <v>18</v>
      </c>
    </row>
    <row r="7" spans="3:6" x14ac:dyDescent="0.25">
      <c r="C7" s="9">
        <v>3</v>
      </c>
      <c r="D7" s="9">
        <v>18</v>
      </c>
      <c r="E7">
        <v>6</v>
      </c>
      <c r="F7">
        <v>12</v>
      </c>
    </row>
    <row r="8" spans="3:6" x14ac:dyDescent="0.25">
      <c r="C8" s="9">
        <v>4</v>
      </c>
      <c r="D8" s="9">
        <v>12</v>
      </c>
      <c r="E8">
        <v>6</v>
      </c>
      <c r="F8">
        <v>6</v>
      </c>
    </row>
    <row r="9" spans="3:6" x14ac:dyDescent="0.25">
      <c r="C9" s="9">
        <v>5</v>
      </c>
      <c r="D9" s="9">
        <v>6</v>
      </c>
      <c r="E9">
        <v>6</v>
      </c>
      <c r="F9">
        <v>0</v>
      </c>
    </row>
    <row r="10" spans="3:6" x14ac:dyDescent="0.25">
      <c r="C10" s="9"/>
      <c r="D10" s="9"/>
    </row>
    <row r="13" spans="3:6" x14ac:dyDescent="0.25">
      <c r="C13" t="s">
        <v>45</v>
      </c>
    </row>
    <row r="14" spans="3:6" x14ac:dyDescent="0.25">
      <c r="C14" t="s">
        <v>46</v>
      </c>
    </row>
    <row r="15" spans="3:6" x14ac:dyDescent="0.25">
      <c r="C15" t="s">
        <v>47</v>
      </c>
    </row>
    <row r="16" spans="3:6" x14ac:dyDescent="0.25">
      <c r="C16" t="s">
        <v>48</v>
      </c>
    </row>
    <row r="17" spans="3:3" x14ac:dyDescent="0.25">
      <c r="C17" t="s">
        <v>49</v>
      </c>
    </row>
    <row r="19" spans="3:3" x14ac:dyDescent="0.25">
      <c r="C19" t="s">
        <v>50</v>
      </c>
    </row>
    <row r="20" spans="3:3" x14ac:dyDescent="0.25">
      <c r="C20" t="s">
        <v>51</v>
      </c>
    </row>
    <row r="21" spans="3:3" x14ac:dyDescent="0.25">
      <c r="C2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2020-11-24T12:58:59Z</dcterms:created>
  <dcterms:modified xsi:type="dcterms:W3CDTF">2021-12-02T10:16:53Z</dcterms:modified>
</cp:coreProperties>
</file>